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irish\IHE\Projects\TMT\FSM - Cox Bazaar 2020\Materials\29 January 2020\"/>
    </mc:Choice>
  </mc:AlternateContent>
  <bookViews>
    <workbookView xWindow="0" yWindow="0" windowWidth="20496" windowHeight="7056" tabRatio="765"/>
  </bookViews>
  <sheets>
    <sheet name="AF" sheetId="50" r:id="rId1"/>
    <sheet name="Graph AF" sheetId="51" r:id="rId2"/>
  </sheets>
  <calcPr calcId="152511"/>
</workbook>
</file>

<file path=xl/calcChain.xml><?xml version="1.0" encoding="utf-8"?>
<calcChain xmlns="http://schemas.openxmlformats.org/spreadsheetml/2006/main">
  <c r="D23" i="50" l="1"/>
  <c r="H25" i="50"/>
  <c r="H24" i="50"/>
  <c r="H29" i="50"/>
  <c r="H28" i="50"/>
  <c r="H26" i="50"/>
  <c r="D25" i="50"/>
  <c r="D24" i="50"/>
  <c r="D22" i="50"/>
  <c r="D8" i="50"/>
  <c r="H16" i="50" l="1"/>
  <c r="H20" i="50"/>
  <c r="D10" i="50"/>
  <c r="H12" i="50" s="1"/>
  <c r="H14" i="50" s="1"/>
  <c r="H18" i="50"/>
  <c r="H19" i="50" s="1"/>
  <c r="H22" i="50" l="1"/>
  <c r="H27" i="50"/>
  <c r="H30" i="50" s="1"/>
  <c r="H31" i="50" s="1"/>
  <c r="H33" i="50" l="1"/>
  <c r="H34" i="50" s="1"/>
  <c r="H35" i="50" s="1"/>
  <c r="D26" i="50" s="1"/>
  <c r="H32" i="50"/>
  <c r="D27" i="50" s="1"/>
</calcChain>
</file>

<file path=xl/sharedStrings.xml><?xml version="1.0" encoding="utf-8"?>
<sst xmlns="http://schemas.openxmlformats.org/spreadsheetml/2006/main" count="174" uniqueCount="147">
  <si>
    <t>m3/d</t>
  </si>
  <si>
    <t>hr</t>
  </si>
  <si>
    <t>mg/L</t>
  </si>
  <si>
    <t>m</t>
  </si>
  <si>
    <t>m3/h</t>
  </si>
  <si>
    <t>T</t>
  </si>
  <si>
    <t>Description</t>
  </si>
  <si>
    <t>Unit</t>
  </si>
  <si>
    <t>Daily Wastewater Flow</t>
  </si>
  <si>
    <r>
      <rPr>
        <vertAlign val="superscript"/>
        <sz val="12"/>
        <rFont val="Calibri"/>
        <family val="2"/>
        <scheme val="minor"/>
      </rPr>
      <t>o</t>
    </r>
    <r>
      <rPr>
        <sz val="12"/>
        <rFont val="Calibri"/>
        <family val="2"/>
        <scheme val="minor"/>
      </rPr>
      <t>C</t>
    </r>
  </si>
  <si>
    <t>Number of unit</t>
  </si>
  <si>
    <t>nos.</t>
  </si>
  <si>
    <t>Symbol</t>
  </si>
  <si>
    <t>L</t>
  </si>
  <si>
    <t>B</t>
  </si>
  <si>
    <t>N</t>
  </si>
  <si>
    <t>Design wastewater flow</t>
  </si>
  <si>
    <r>
      <t>BOD</t>
    </r>
    <r>
      <rPr>
        <vertAlign val="subscript"/>
        <sz val="12"/>
        <rFont val="Calibri"/>
        <family val="2"/>
        <scheme val="minor"/>
      </rPr>
      <t>out</t>
    </r>
  </si>
  <si>
    <t>BOD of effluent</t>
  </si>
  <si>
    <r>
      <t>Q</t>
    </r>
    <r>
      <rPr>
        <vertAlign val="subscript"/>
        <sz val="12"/>
        <rFont val="Calibri"/>
        <family val="2"/>
        <scheme val="minor"/>
      </rPr>
      <t>d</t>
    </r>
  </si>
  <si>
    <t>Q</t>
  </si>
  <si>
    <t>Influent BOD</t>
  </si>
  <si>
    <t>Influent COD</t>
  </si>
  <si>
    <t>m/h</t>
  </si>
  <si>
    <t>V =</t>
  </si>
  <si>
    <r>
      <t>t</t>
    </r>
    <r>
      <rPr>
        <vertAlign val="subscript"/>
        <sz val="12"/>
        <rFont val="Calibri"/>
        <family val="2"/>
        <scheme val="minor"/>
      </rPr>
      <t>P</t>
    </r>
  </si>
  <si>
    <t>Design Procedure</t>
  </si>
  <si>
    <t>Peak flow</t>
  </si>
  <si>
    <r>
      <t>Q</t>
    </r>
    <r>
      <rPr>
        <vertAlign val="subscript"/>
        <sz val="12"/>
        <rFont val="Calibri"/>
        <family val="2"/>
        <scheme val="minor"/>
      </rPr>
      <t>P</t>
    </r>
  </si>
  <si>
    <t>Assume H =</t>
  </si>
  <si>
    <t>Value</t>
  </si>
  <si>
    <t>Lowest temperature</t>
  </si>
  <si>
    <t>tHRT =</t>
  </si>
  <si>
    <t>VUP =</t>
  </si>
  <si>
    <t>factor strength, ƒS =</t>
  </si>
  <si>
    <t>factor HRT, ƒHRT =</t>
  </si>
  <si>
    <t>factor Organic Load, ƒO =</t>
  </si>
  <si>
    <t>ƒS =</t>
  </si>
  <si>
    <t>ƒT =</t>
  </si>
  <si>
    <t>ƒHRT =</t>
  </si>
  <si>
    <t>ƒO =</t>
  </si>
  <si>
    <t>IF(K29&lt;0.8,K29,IF((K29*(1-0.37*(K29-0.8)))&lt;0.95,K29*(1-0.37*(K29-0.8)),0.95))</t>
  </si>
  <si>
    <t xml:space="preserve"> </t>
  </si>
  <si>
    <t>Formula/Design Steps</t>
  </si>
  <si>
    <t>Calculation</t>
  </si>
  <si>
    <t>cum</t>
  </si>
  <si>
    <t>factor temperature, ƒT =</t>
  </si>
  <si>
    <t>ƒN =</t>
  </si>
  <si>
    <t>BOD of effluent, BODout =</t>
  </si>
  <si>
    <t>COD of effluent, CODout =</t>
  </si>
  <si>
    <t>(1-CODrem.rate)*CODin</t>
  </si>
  <si>
    <t>(1-BODrem.rate)*BODin</t>
  </si>
  <si>
    <t>Width or Breadth</t>
  </si>
  <si>
    <t>Water Depth</t>
  </si>
  <si>
    <t>H</t>
  </si>
  <si>
    <t>COD of effluent</t>
  </si>
  <si>
    <r>
      <t>COD</t>
    </r>
    <r>
      <rPr>
        <vertAlign val="subscript"/>
        <sz val="12"/>
        <rFont val="Calibri"/>
        <family val="2"/>
        <scheme val="minor"/>
      </rPr>
      <t>out</t>
    </r>
  </si>
  <si>
    <t>Length of chamber</t>
  </si>
  <si>
    <t>VUP</t>
  </si>
  <si>
    <t xml:space="preserve">Calculate BOD and COD of effluent </t>
  </si>
  <si>
    <t>nos</t>
  </si>
  <si>
    <t>mg/ltrs</t>
  </si>
  <si>
    <r>
      <t>COD</t>
    </r>
    <r>
      <rPr>
        <b/>
        <vertAlign val="subscript"/>
        <sz val="12"/>
        <color theme="1"/>
        <rFont val="Calibri"/>
        <family val="2"/>
        <scheme val="minor"/>
      </rPr>
      <t xml:space="preserve">out </t>
    </r>
    <r>
      <rPr>
        <b/>
        <sz val="12"/>
        <color theme="1"/>
        <rFont val="Calibri"/>
        <family val="2"/>
        <scheme val="minor"/>
      </rPr>
      <t>=</t>
    </r>
  </si>
  <si>
    <t>Assume, Liquid depth at outlet, H =</t>
  </si>
  <si>
    <t>Given Parameters</t>
  </si>
  <si>
    <t>Chosen Parameters</t>
  </si>
  <si>
    <t>BODin</t>
  </si>
  <si>
    <t>CODin</t>
  </si>
  <si>
    <t>Graph for Factor fHRT</t>
  </si>
  <si>
    <t>Graph for Factor fS</t>
  </si>
  <si>
    <t>Graph for Factor fT</t>
  </si>
  <si>
    <t>Graph for Factor fO</t>
  </si>
  <si>
    <t>Graph for Factor fN</t>
  </si>
  <si>
    <r>
      <t xml:space="preserve">a </t>
    </r>
    <r>
      <rPr>
        <b/>
        <sz val="12"/>
        <color theme="4"/>
        <rFont val="Calibri"/>
        <family val="2"/>
        <scheme val="minor"/>
      </rPr>
      <t>(Use graph for Factor fS)</t>
    </r>
  </si>
  <si>
    <r>
      <t xml:space="preserve">b </t>
    </r>
    <r>
      <rPr>
        <b/>
        <sz val="12"/>
        <color theme="4"/>
        <rFont val="Calibri"/>
        <family val="2"/>
        <scheme val="minor"/>
      </rPr>
      <t>(Use graph for Factor fT)</t>
    </r>
  </si>
  <si>
    <r>
      <t xml:space="preserve">c </t>
    </r>
    <r>
      <rPr>
        <b/>
        <sz val="12"/>
        <color theme="4"/>
        <rFont val="Calibri"/>
        <family val="2"/>
        <scheme val="minor"/>
      </rPr>
      <t>(Use graph for Factor fO)</t>
    </r>
  </si>
  <si>
    <r>
      <t xml:space="preserve">d </t>
    </r>
    <r>
      <rPr>
        <b/>
        <sz val="12"/>
        <color theme="4"/>
        <rFont val="Calibri"/>
        <family val="2"/>
        <scheme val="minor"/>
      </rPr>
      <t>(Use graph for Factor fHRT)</t>
    </r>
  </si>
  <si>
    <r>
      <t xml:space="preserve">e </t>
    </r>
    <r>
      <rPr>
        <b/>
        <sz val="12"/>
        <color theme="4"/>
        <rFont val="Calibri"/>
        <family val="2"/>
        <scheme val="minor"/>
      </rPr>
      <t>(Use graph for Factor fN)</t>
    </r>
  </si>
  <si>
    <r>
      <t xml:space="preserve">x </t>
    </r>
    <r>
      <rPr>
        <b/>
        <sz val="12"/>
        <color theme="4"/>
        <rFont val="Calibri"/>
        <family val="2"/>
        <scheme val="minor"/>
      </rPr>
      <t>(Use graph for Factor fBODtoCOD)</t>
    </r>
  </si>
  <si>
    <t>Design of Anaerobic Filter (AF)</t>
  </si>
  <si>
    <t>This equals liquid depth of ABR at outlet</t>
  </si>
  <si>
    <t>Assume, Length of AF, L =</t>
  </si>
  <si>
    <t>Assume L =</t>
  </si>
  <si>
    <t>Length of filter chamber ≤ depth of filter chamber</t>
  </si>
  <si>
    <t>Assume, breadth of AF, B =</t>
  </si>
  <si>
    <t>Assume B =</t>
  </si>
  <si>
    <t xml:space="preserve">Assume </t>
  </si>
  <si>
    <t>Peak Hours</t>
  </si>
  <si>
    <t>Number of Filter Chamber, Nc =</t>
  </si>
  <si>
    <t xml:space="preserve"> Nc =</t>
  </si>
  <si>
    <t>Take number of unit 1-3</t>
  </si>
  <si>
    <t>Thickness of Slab, d =</t>
  </si>
  <si>
    <t>d =</t>
  </si>
  <si>
    <t>Take as per design or requirement</t>
  </si>
  <si>
    <t>Thickness of Filter media, D =</t>
  </si>
  <si>
    <t>D =</t>
  </si>
  <si>
    <t>H-Upper freeboard-Lower freeboard - Thickness of slab</t>
  </si>
  <si>
    <t>Max Velocity in filter media, VUP =</t>
  </si>
  <si>
    <t>Qp/(L*B*Void%)</t>
  </si>
  <si>
    <t>Check for velocity in filter media</t>
  </si>
  <si>
    <t>Specific Surface area of Filter media</t>
  </si>
  <si>
    <t>Asf</t>
  </si>
  <si>
    <t>m2/m3</t>
  </si>
  <si>
    <t>Maximum Upflow velocity should be 2 m/h</t>
  </si>
  <si>
    <t>Voids in Filter media (30%-45%)</t>
  </si>
  <si>
    <t>Void</t>
  </si>
  <si>
    <t>Calculate Vol. of AF</t>
  </si>
  <si>
    <t>Volume of AF, V =</t>
  </si>
  <si>
    <t>Nc*L*B*(L-D*(1-Void%))</t>
  </si>
  <si>
    <t>Up Flow Velocity (0.9 to 2 m/h)</t>
  </si>
  <si>
    <t>Check for COD loading and HRT</t>
  </si>
  <si>
    <t>Upper free board</t>
  </si>
  <si>
    <r>
      <t>H</t>
    </r>
    <r>
      <rPr>
        <vertAlign val="subscript"/>
        <sz val="12"/>
        <rFont val="Calibri"/>
        <family val="2"/>
        <scheme val="minor"/>
      </rPr>
      <t>UFB</t>
    </r>
  </si>
  <si>
    <t>COD loading =</t>
  </si>
  <si>
    <t>kg/m3d</t>
  </si>
  <si>
    <t>Qd*CODin/V/1000</t>
  </si>
  <si>
    <t>Lower free board</t>
  </si>
  <si>
    <r>
      <t>H</t>
    </r>
    <r>
      <rPr>
        <vertAlign val="subscript"/>
        <sz val="12"/>
        <rFont val="Calibri"/>
        <family val="2"/>
        <scheme val="minor"/>
      </rPr>
      <t>LFB</t>
    </r>
  </si>
  <si>
    <t>Organic loading should be &lt; 4 kg/m3/day COD</t>
  </si>
  <si>
    <t xml:space="preserve">HRT in Filter tHRT = </t>
  </si>
  <si>
    <t>hrs</t>
  </si>
  <si>
    <t>((H-D*(1-0.4))*L*B*Nc)/(Qd/24)</t>
  </si>
  <si>
    <t>Summary of AF size</t>
  </si>
  <si>
    <t>Is theAF is stand-alone treatment unit?</t>
  </si>
  <si>
    <t>No</t>
  </si>
  <si>
    <t>Hydraulic Retention Time, tHRT should be 
15-20 hours in DEWATS and 24-48 hours in stand-alone treatment</t>
  </si>
  <si>
    <t>Thickness of Filter media</t>
  </si>
  <si>
    <t>D</t>
  </si>
  <si>
    <t>Size of filter media (Gravel or Cinder)</t>
  </si>
  <si>
    <t>80-140</t>
  </si>
  <si>
    <t>mm</t>
  </si>
  <si>
    <t>factor Chamber, ƒN =</t>
  </si>
  <si>
    <t>factor surface, ƒsur =</t>
  </si>
  <si>
    <t>ƒsur =</t>
  </si>
  <si>
    <r>
      <t xml:space="preserve">f </t>
    </r>
    <r>
      <rPr>
        <b/>
        <sz val="12"/>
        <color theme="4"/>
        <rFont val="Calibri"/>
        <family val="2"/>
        <scheme val="minor"/>
      </rPr>
      <t>(Use graph for Factor fsur)</t>
    </r>
  </si>
  <si>
    <t>COD removal by factor, CODrem.rate =</t>
  </si>
  <si>
    <t>CODrem.rate =</t>
  </si>
  <si>
    <t>a * b * c * d * e * f</t>
  </si>
  <si>
    <r>
      <t>Applied COD removal rate =</t>
    </r>
    <r>
      <rPr>
        <vertAlign val="subscript"/>
        <sz val="12"/>
        <rFont val="Calibri"/>
        <family val="2"/>
        <scheme val="minor"/>
      </rPr>
      <t xml:space="preserve"> </t>
    </r>
  </si>
  <si>
    <t>Factor Efficiency of BODrem to CODrem, fBODtoCOD =</t>
  </si>
  <si>
    <t xml:space="preserve">fBODtoCOD = </t>
  </si>
  <si>
    <t>BOD removal rate, BODrem rate =</t>
  </si>
  <si>
    <t>BODrem rate =</t>
  </si>
  <si>
    <t>fBODtoBOD*BODrem.rate</t>
  </si>
  <si>
    <t>BODout =</t>
  </si>
  <si>
    <t>Graph for Factor fsur</t>
  </si>
  <si>
    <t>Graph for Factor fBODtoCOD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</si>
</sst>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bscript"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</cellStyleXfs>
  <cellXfs count="110">
    <xf numFmtId="0" fontId="0" fillId="0" borderId="0" xfId="0"/>
    <xf numFmtId="0" fontId="6" fillId="0" borderId="0" xfId="0" applyFont="1" applyFill="1" applyAlignment="1" applyProtection="1">
      <alignment vertical="center" wrapText="1"/>
    </xf>
    <xf numFmtId="0" fontId="13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right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left" vertical="center"/>
    </xf>
    <xf numFmtId="166" fontId="6" fillId="0" borderId="7" xfId="13" applyNumberFormat="1" applyFont="1" applyFill="1" applyBorder="1" applyAlignment="1" applyProtection="1">
      <alignment vertical="center"/>
    </xf>
    <xf numFmtId="2" fontId="6" fillId="0" borderId="20" xfId="0" applyNumberFormat="1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164" fontId="6" fillId="0" borderId="7" xfId="13" applyNumberFormat="1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horizontal="left" vertical="center" wrapText="1" indent="1"/>
    </xf>
    <xf numFmtId="9" fontId="6" fillId="0" borderId="20" xfId="1" applyFont="1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11" fillId="0" borderId="12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 wrapText="1"/>
    </xf>
    <xf numFmtId="1" fontId="6" fillId="0" borderId="0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2" fontId="9" fillId="0" borderId="20" xfId="0" applyNumberFormat="1" applyFont="1" applyFill="1" applyBorder="1" applyAlignment="1" applyProtection="1">
      <alignment horizontal="center" vertical="center" wrapText="1"/>
    </xf>
    <xf numFmtId="1" fontId="5" fillId="0" borderId="20" xfId="0" applyNumberFormat="1" applyFont="1" applyFill="1" applyBorder="1" applyAlignment="1" applyProtection="1">
      <alignment vertical="center" wrapText="1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14" xfId="0" applyFont="1" applyFill="1" applyBorder="1" applyAlignment="1" applyProtection="1">
      <alignment horizontal="right" vertical="center"/>
    </xf>
    <xf numFmtId="1" fontId="5" fillId="0" borderId="25" xfId="0" applyNumberFormat="1" applyFont="1" applyFill="1" applyBorder="1" applyAlignment="1" applyProtection="1">
      <alignment vertical="center" wrapText="1"/>
    </xf>
    <xf numFmtId="0" fontId="11" fillId="0" borderId="15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 vertical="center"/>
    </xf>
    <xf numFmtId="164" fontId="6" fillId="0" borderId="20" xfId="0" applyNumberFormat="1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 wrapText="1"/>
    </xf>
    <xf numFmtId="164" fontId="10" fillId="0" borderId="1" xfId="0" applyNumberFormat="1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 applyProtection="1">
      <alignment horizontal="right" vertical="center" wrapText="1"/>
    </xf>
    <xf numFmtId="0" fontId="10" fillId="0" borderId="17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left" vertical="center" wrapText="1"/>
    </xf>
    <xf numFmtId="0" fontId="10" fillId="0" borderId="18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left" vertical="center" wrapText="1" indent="1"/>
    </xf>
    <xf numFmtId="2" fontId="9" fillId="0" borderId="6" xfId="0" applyNumberFormat="1" applyFont="1" applyFill="1" applyBorder="1" applyAlignment="1" applyProtection="1">
      <alignment horizontal="left" vertical="center" wrapText="1" indent="1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6" fillId="0" borderId="27" xfId="0" applyFont="1" applyBorder="1" applyAlignment="1">
      <alignment horizontal="center"/>
    </xf>
    <xf numFmtId="0" fontId="11" fillId="0" borderId="21" xfId="0" applyFont="1" applyFill="1" applyBorder="1" applyAlignment="1" applyProtection="1">
      <alignment horizontal="left" vertical="center"/>
    </xf>
    <xf numFmtId="0" fontId="11" fillId="0" borderId="22" xfId="0" applyFont="1" applyFill="1" applyBorder="1" applyAlignment="1" applyProtection="1">
      <alignment horizontal="left" vertical="center"/>
    </xf>
    <xf numFmtId="0" fontId="11" fillId="0" borderId="26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 wrapText="1"/>
    </xf>
    <xf numFmtId="0" fontId="13" fillId="0" borderId="13" xfId="0" applyFont="1" applyFill="1" applyBorder="1" applyAlignment="1" applyProtection="1">
      <alignment horizontal="left" vertical="center" wrapText="1"/>
    </xf>
    <xf numFmtId="164" fontId="11" fillId="0" borderId="13" xfId="0" applyNumberFormat="1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right" vertical="center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2" fontId="9" fillId="0" borderId="29" xfId="0" applyNumberFormat="1" applyFont="1" applyFill="1" applyBorder="1" applyAlignment="1" applyProtection="1">
      <alignment horizontal="left" vertical="center" wrapText="1" indent="1"/>
    </xf>
    <xf numFmtId="2" fontId="9" fillId="0" borderId="30" xfId="0" applyNumberFormat="1" applyFont="1" applyFill="1" applyBorder="1" applyAlignment="1" applyProtection="1">
      <alignment horizontal="left" vertical="center" wrapText="1" indent="1"/>
    </xf>
    <xf numFmtId="2" fontId="9" fillId="0" borderId="23" xfId="0" applyNumberFormat="1" applyFont="1" applyFill="1" applyBorder="1" applyAlignment="1" applyProtection="1">
      <alignment horizontal="left" vertical="center" wrapText="1" indent="1"/>
    </xf>
    <xf numFmtId="2" fontId="9" fillId="0" borderId="24" xfId="0" applyNumberFormat="1" applyFont="1" applyFill="1" applyBorder="1" applyAlignment="1" applyProtection="1">
      <alignment horizontal="left" vertical="center" wrapText="1" indent="1"/>
    </xf>
    <xf numFmtId="0" fontId="6" fillId="0" borderId="0" xfId="0" applyFont="1" applyFill="1" applyAlignment="1" applyProtection="1">
      <alignment horizontal="right" vertical="center" wrapText="1"/>
    </xf>
    <xf numFmtId="49" fontId="6" fillId="0" borderId="0" xfId="0" applyNumberFormat="1" applyFont="1" applyFill="1" applyAlignment="1" applyProtection="1">
      <alignment horizontal="right" vertical="center" wrapText="1"/>
    </xf>
    <xf numFmtId="9" fontId="6" fillId="0" borderId="20" xfId="1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167" fontId="6" fillId="2" borderId="7" xfId="13" applyNumberFormat="1" applyFont="1" applyFill="1" applyBorder="1" applyAlignment="1" applyProtection="1">
      <alignment vertical="center"/>
      <protection locked="0"/>
    </xf>
    <xf numFmtId="9" fontId="6" fillId="2" borderId="7" xfId="1" applyFont="1" applyFill="1" applyBorder="1" applyAlignment="1" applyProtection="1">
      <alignment vertical="center"/>
      <protection locked="0"/>
    </xf>
    <xf numFmtId="166" fontId="6" fillId="2" borderId="7" xfId="13" applyNumberFormat="1" applyFont="1" applyFill="1" applyBorder="1" applyAlignment="1" applyProtection="1">
      <alignment vertical="center"/>
      <protection locked="0"/>
    </xf>
    <xf numFmtId="166" fontId="6" fillId="2" borderId="28" xfId="13" applyNumberFormat="1" applyFont="1" applyFill="1" applyBorder="1" applyAlignment="1" applyProtection="1">
      <alignment vertical="center"/>
      <protection locked="0"/>
    </xf>
    <xf numFmtId="166" fontId="6" fillId="2" borderId="16" xfId="13" applyNumberFormat="1" applyFont="1" applyFill="1" applyBorder="1" applyAlignment="1" applyProtection="1">
      <alignment vertical="center"/>
      <protection locked="0"/>
    </xf>
    <xf numFmtId="164" fontId="6" fillId="2" borderId="7" xfId="13" applyNumberFormat="1" applyFont="1" applyFill="1" applyBorder="1" applyAlignment="1" applyProtection="1">
      <alignment vertical="center"/>
      <protection locked="0"/>
    </xf>
    <xf numFmtId="164" fontId="5" fillId="2" borderId="20" xfId="0" applyNumberFormat="1" applyFont="1" applyFill="1" applyBorder="1" applyAlignment="1" applyProtection="1">
      <alignment vertical="center"/>
    </xf>
    <xf numFmtId="165" fontId="6" fillId="2" borderId="7" xfId="0" applyNumberFormat="1" applyFont="1" applyFill="1" applyBorder="1" applyAlignment="1" applyProtection="1">
      <alignment vertical="center"/>
    </xf>
    <xf numFmtId="1" fontId="6" fillId="2" borderId="7" xfId="0" applyNumberFormat="1" applyFont="1" applyFill="1" applyBorder="1" applyAlignment="1" applyProtection="1">
      <alignment vertical="center"/>
      <protection locked="0"/>
    </xf>
  </cellXfs>
  <cellStyles count="16">
    <cellStyle name="Comma" xfId="13" builtinId="3"/>
    <cellStyle name="Comma 2" xfId="2"/>
    <cellStyle name="Comma 3" xfId="3"/>
    <cellStyle name="Comma 4" xfId="15"/>
    <cellStyle name="Normal" xfId="0" builtinId="0"/>
    <cellStyle name="Normal 2" xfId="4"/>
    <cellStyle name="Normal 2 2" xfId="5"/>
    <cellStyle name="Normal 3" xfId="6"/>
    <cellStyle name="Normal 4" xfId="14"/>
    <cellStyle name="Percent" xfId="1" builtinId="5"/>
    <cellStyle name="Percent 2" xfId="7"/>
    <cellStyle name="Percent 2 2" xfId="8"/>
    <cellStyle name="Percent 2 3" xfId="9"/>
    <cellStyle name="Percent 2 4" xfId="10"/>
    <cellStyle name="Percent 2 5" xfId="11"/>
    <cellStyle name="Percent 2 6" xfId="12"/>
  </cellStyles>
  <dxfs count="0"/>
  <tableStyles count="0" defaultTableStyle="TableStyleMedium9" defaultPivotStyle="PivotStyleLight16"/>
  <colors>
    <mruColors>
      <color rgb="FFFFFF66"/>
      <color rgb="FF00FF99"/>
      <color rgb="FF0000CC"/>
      <color rgb="FF00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68</xdr:row>
      <xdr:rowOff>9525</xdr:rowOff>
    </xdr:from>
    <xdr:to>
      <xdr:col>10</xdr:col>
      <xdr:colOff>581025</xdr:colOff>
      <xdr:row>80</xdr:row>
      <xdr:rowOff>142875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33045"/>
          <a:ext cx="6257925" cy="232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151158</xdr:colOff>
      <xdr:row>16</xdr:row>
      <xdr:rowOff>180975</xdr:rowOff>
    </xdr:from>
    <xdr:to>
      <xdr:col>10</xdr:col>
      <xdr:colOff>76200</xdr:colOff>
      <xdr:row>30</xdr:row>
      <xdr:rowOff>177128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58" y="3228975"/>
          <a:ext cx="6021042" cy="2556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1</xdr:row>
      <xdr:rowOff>123825</xdr:rowOff>
    </xdr:from>
    <xdr:to>
      <xdr:col>10</xdr:col>
      <xdr:colOff>333375</xdr:colOff>
      <xdr:row>14</xdr:row>
      <xdr:rowOff>85725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06705"/>
          <a:ext cx="6124575" cy="2339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196850</xdr:colOff>
      <xdr:row>49</xdr:row>
      <xdr:rowOff>57151</xdr:rowOff>
    </xdr:from>
    <xdr:to>
      <xdr:col>10</xdr:col>
      <xdr:colOff>447035</xdr:colOff>
      <xdr:row>64</xdr:row>
      <xdr:rowOff>95251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9384031"/>
          <a:ext cx="6346185" cy="278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32</xdr:row>
      <xdr:rowOff>123825</xdr:rowOff>
    </xdr:from>
    <xdr:to>
      <xdr:col>7</xdr:col>
      <xdr:colOff>590550</xdr:colOff>
      <xdr:row>46</xdr:row>
      <xdr:rowOff>123825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219825"/>
          <a:ext cx="4381500" cy="2560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514350</xdr:colOff>
      <xdr:row>84</xdr:row>
      <xdr:rowOff>123825</xdr:rowOff>
    </xdr:from>
    <xdr:to>
      <xdr:col>10</xdr:col>
      <xdr:colOff>219075</xdr:colOff>
      <xdr:row>97</xdr:row>
      <xdr:rowOff>142875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6095345"/>
          <a:ext cx="5800725" cy="239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101</xdr:row>
      <xdr:rowOff>95250</xdr:rowOff>
    </xdr:from>
    <xdr:to>
      <xdr:col>10</xdr:col>
      <xdr:colOff>523875</xdr:colOff>
      <xdr:row>116</xdr:row>
      <xdr:rowOff>133350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297650"/>
          <a:ext cx="6315075" cy="278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7"/>
  <sheetViews>
    <sheetView tabSelected="1" workbookViewId="0">
      <selection activeCell="B20" sqref="B20"/>
    </sheetView>
  </sheetViews>
  <sheetFormatPr defaultColWidth="9.109375" defaultRowHeight="15.6" x14ac:dyDescent="0.3"/>
  <cols>
    <col min="1" max="1" width="2.44140625" style="4" customWidth="1"/>
    <col min="2" max="2" width="36.109375" style="4" bestFit="1" customWidth="1"/>
    <col min="3" max="3" width="8.33203125" style="4" bestFit="1" customWidth="1"/>
    <col min="4" max="4" width="9.109375" style="4" customWidth="1"/>
    <col min="5" max="5" width="7.5546875" style="4" bestFit="1" customWidth="1"/>
    <col min="6" max="6" width="1.6640625" style="4" customWidth="1"/>
    <col min="7" max="7" width="39.109375" style="5" customWidth="1"/>
    <col min="8" max="8" width="11.88671875" style="4" bestFit="1" customWidth="1"/>
    <col min="9" max="9" width="8.109375" style="5" bestFit="1" customWidth="1"/>
    <col min="10" max="10" width="1.6640625" style="4" customWidth="1"/>
    <col min="11" max="11" width="15" style="1" customWidth="1"/>
    <col min="12" max="12" width="57.5546875" style="6" customWidth="1"/>
    <col min="13" max="13" width="3.109375" style="4" customWidth="1"/>
    <col min="14" max="16384" width="9.109375" style="4"/>
  </cols>
  <sheetData>
    <row r="1" spans="2:26" s="3" customFormat="1" ht="16.2" thickBot="1" x14ac:dyDescent="0.35">
      <c r="B1" s="100"/>
      <c r="C1" s="100"/>
      <c r="D1" s="100"/>
      <c r="E1" s="100"/>
      <c r="F1" s="100"/>
      <c r="G1" s="100"/>
      <c r="H1" s="100"/>
      <c r="I1" s="100"/>
    </row>
    <row r="2" spans="2:26" ht="16.2" thickBot="1" x14ac:dyDescent="0.35">
      <c r="B2" s="71" t="s">
        <v>79</v>
      </c>
      <c r="C2" s="72"/>
      <c r="D2" s="72"/>
      <c r="E2" s="72"/>
      <c r="F2" s="72"/>
      <c r="G2" s="72"/>
      <c r="H2" s="72"/>
      <c r="I2" s="73"/>
      <c r="K2" s="71" t="s">
        <v>26</v>
      </c>
      <c r="L2" s="73"/>
      <c r="Y2" s="5"/>
      <c r="Z2" s="1"/>
    </row>
    <row r="3" spans="2:26" ht="16.2" thickBot="1" x14ac:dyDescent="0.35">
      <c r="G3" s="4"/>
      <c r="H3" s="1"/>
      <c r="I3" s="6"/>
      <c r="K3" s="5"/>
      <c r="L3" s="4"/>
      <c r="N3" s="5"/>
      <c r="O3" s="1"/>
    </row>
    <row r="4" spans="2:26" s="5" customFormat="1" ht="16.2" thickBot="1" x14ac:dyDescent="0.35">
      <c r="B4" s="7" t="s">
        <v>6</v>
      </c>
      <c r="C4" s="7" t="s">
        <v>12</v>
      </c>
      <c r="D4" s="7" t="s">
        <v>30</v>
      </c>
      <c r="E4" s="8" t="s">
        <v>7</v>
      </c>
      <c r="F4" s="9"/>
      <c r="G4" s="7" t="s">
        <v>6</v>
      </c>
      <c r="H4" s="8" t="s">
        <v>44</v>
      </c>
      <c r="I4" s="8" t="s">
        <v>7</v>
      </c>
      <c r="K4" s="7" t="s">
        <v>6</v>
      </c>
      <c r="L4" s="8" t="s">
        <v>43</v>
      </c>
    </row>
    <row r="5" spans="2:26" x14ac:dyDescent="0.3">
      <c r="B5" s="82" t="s">
        <v>64</v>
      </c>
      <c r="C5" s="83"/>
      <c r="D5" s="83"/>
      <c r="E5" s="84"/>
      <c r="G5" s="76" t="s">
        <v>44</v>
      </c>
      <c r="H5" s="77"/>
      <c r="I5" s="78"/>
      <c r="K5" s="79" t="s">
        <v>44</v>
      </c>
      <c r="L5" s="80"/>
    </row>
    <row r="6" spans="2:26" x14ac:dyDescent="0.3">
      <c r="B6" s="11" t="s">
        <v>8</v>
      </c>
      <c r="C6" s="17" t="s">
        <v>20</v>
      </c>
      <c r="D6" s="108">
        <v>10</v>
      </c>
      <c r="E6" s="13" t="s">
        <v>0</v>
      </c>
      <c r="G6" s="27" t="s">
        <v>63</v>
      </c>
      <c r="H6" s="106">
        <v>1.8</v>
      </c>
      <c r="I6" s="13" t="s">
        <v>3</v>
      </c>
      <c r="J6" s="23"/>
      <c r="K6" s="22" t="s">
        <v>29</v>
      </c>
      <c r="L6" s="85" t="s">
        <v>80</v>
      </c>
    </row>
    <row r="7" spans="2:26" x14ac:dyDescent="0.3">
      <c r="B7" s="11" t="s">
        <v>10</v>
      </c>
      <c r="C7" s="12" t="s">
        <v>15</v>
      </c>
      <c r="D7" s="101">
        <v>1</v>
      </c>
      <c r="E7" s="13" t="s">
        <v>11</v>
      </c>
      <c r="G7" s="27" t="s">
        <v>81</v>
      </c>
      <c r="H7" s="106">
        <v>1</v>
      </c>
      <c r="I7" s="13" t="s">
        <v>3</v>
      </c>
      <c r="K7" s="22" t="s">
        <v>82</v>
      </c>
      <c r="L7" s="85" t="s">
        <v>83</v>
      </c>
    </row>
    <row r="8" spans="2:26" ht="18" x14ac:dyDescent="0.3">
      <c r="B8" s="11" t="s">
        <v>16</v>
      </c>
      <c r="C8" s="12" t="s">
        <v>19</v>
      </c>
      <c r="D8" s="15">
        <f>D6/D7</f>
        <v>10</v>
      </c>
      <c r="E8" s="13" t="s">
        <v>0</v>
      </c>
      <c r="F8" s="2"/>
      <c r="G8" s="27" t="s">
        <v>84</v>
      </c>
      <c r="H8" s="106">
        <v>3</v>
      </c>
      <c r="I8" s="13" t="s">
        <v>3</v>
      </c>
      <c r="J8" s="23"/>
      <c r="K8" s="22" t="s">
        <v>85</v>
      </c>
      <c r="L8" s="85" t="s">
        <v>86</v>
      </c>
    </row>
    <row r="9" spans="2:26" ht="18" x14ac:dyDescent="0.3">
      <c r="B9" s="11" t="s">
        <v>87</v>
      </c>
      <c r="C9" s="17" t="s">
        <v>25</v>
      </c>
      <c r="D9" s="103">
        <v>2</v>
      </c>
      <c r="E9" s="13" t="s">
        <v>1</v>
      </c>
      <c r="G9" s="27" t="s">
        <v>88</v>
      </c>
      <c r="H9" s="101">
        <v>2</v>
      </c>
      <c r="I9" s="13" t="s">
        <v>60</v>
      </c>
      <c r="J9" s="23"/>
      <c r="K9" s="27" t="s">
        <v>89</v>
      </c>
      <c r="L9" s="86" t="s">
        <v>90</v>
      </c>
    </row>
    <row r="10" spans="2:26" ht="18" x14ac:dyDescent="0.3">
      <c r="B10" s="11" t="s">
        <v>27</v>
      </c>
      <c r="C10" s="17" t="s">
        <v>28</v>
      </c>
      <c r="D10" s="18">
        <f>D8/D9</f>
        <v>5</v>
      </c>
      <c r="E10" s="13" t="s">
        <v>4</v>
      </c>
      <c r="F10" s="4" t="s">
        <v>42</v>
      </c>
      <c r="G10" s="10" t="s">
        <v>91</v>
      </c>
      <c r="H10" s="106">
        <v>0.05</v>
      </c>
      <c r="I10" s="13" t="s">
        <v>3</v>
      </c>
      <c r="K10" s="27" t="s">
        <v>92</v>
      </c>
      <c r="L10" s="14" t="s">
        <v>93</v>
      </c>
    </row>
    <row r="11" spans="2:26" x14ac:dyDescent="0.3">
      <c r="B11" s="11" t="s">
        <v>21</v>
      </c>
      <c r="C11" s="17" t="s">
        <v>66</v>
      </c>
      <c r="D11" s="109">
        <v>179</v>
      </c>
      <c r="E11" s="13" t="s">
        <v>2</v>
      </c>
      <c r="G11" s="24" t="s">
        <v>94</v>
      </c>
      <c r="H11" s="107">
        <v>0.75</v>
      </c>
      <c r="I11" s="47" t="s">
        <v>3</v>
      </c>
      <c r="J11" s="23"/>
      <c r="K11" s="22" t="s">
        <v>95</v>
      </c>
      <c r="L11" s="87" t="s">
        <v>96</v>
      </c>
    </row>
    <row r="12" spans="2:26" x14ac:dyDescent="0.3">
      <c r="B12" s="11" t="s">
        <v>22</v>
      </c>
      <c r="C12" s="17" t="s">
        <v>67</v>
      </c>
      <c r="D12" s="109">
        <v>541</v>
      </c>
      <c r="E12" s="13" t="s">
        <v>2</v>
      </c>
      <c r="G12" s="10" t="s">
        <v>97</v>
      </c>
      <c r="H12" s="48">
        <f>D10/(H7*H8*D15)</f>
        <v>3.7037037037037033</v>
      </c>
      <c r="I12" s="13" t="s">
        <v>23</v>
      </c>
      <c r="J12" s="23"/>
      <c r="K12" s="27" t="s">
        <v>33</v>
      </c>
      <c r="L12" s="14" t="s">
        <v>98</v>
      </c>
    </row>
    <row r="13" spans="2:26" ht="17.399999999999999" x14ac:dyDescent="0.3">
      <c r="B13" s="21" t="s">
        <v>31</v>
      </c>
      <c r="C13" s="17" t="s">
        <v>5</v>
      </c>
      <c r="D13" s="101">
        <v>20</v>
      </c>
      <c r="E13" s="13" t="s">
        <v>9</v>
      </c>
      <c r="G13" s="68" t="s">
        <v>99</v>
      </c>
      <c r="H13" s="69"/>
      <c r="I13" s="70"/>
      <c r="K13" s="68" t="s">
        <v>99</v>
      </c>
      <c r="L13" s="70"/>
    </row>
    <row r="14" spans="2:26" x14ac:dyDescent="0.3">
      <c r="B14" s="21" t="s">
        <v>100</v>
      </c>
      <c r="C14" s="17" t="s">
        <v>101</v>
      </c>
      <c r="D14" s="101">
        <v>120</v>
      </c>
      <c r="E14" s="13" t="s">
        <v>102</v>
      </c>
      <c r="G14" s="10"/>
      <c r="H14" s="37" t="str">
        <f>IF(OR(H12&lt;=0,H12&gt;2),"recheck","OK")</f>
        <v>recheck</v>
      </c>
      <c r="I14" s="13"/>
      <c r="K14" s="74" t="s">
        <v>103</v>
      </c>
      <c r="L14" s="75"/>
    </row>
    <row r="15" spans="2:26" ht="16.2" thickBot="1" x14ac:dyDescent="0.35">
      <c r="B15" s="21" t="s">
        <v>104</v>
      </c>
      <c r="C15" s="17" t="s">
        <v>105</v>
      </c>
      <c r="D15" s="102">
        <v>0.45</v>
      </c>
      <c r="E15" s="13"/>
      <c r="G15" s="76" t="s">
        <v>106</v>
      </c>
      <c r="H15" s="77"/>
      <c r="I15" s="78"/>
      <c r="K15" s="60" t="s">
        <v>106</v>
      </c>
      <c r="L15" s="61"/>
    </row>
    <row r="16" spans="2:26" x14ac:dyDescent="0.3">
      <c r="B16" s="62" t="s">
        <v>65</v>
      </c>
      <c r="C16" s="63"/>
      <c r="D16" s="63"/>
      <c r="E16" s="64"/>
      <c r="G16" s="10" t="s">
        <v>107</v>
      </c>
      <c r="H16" s="50">
        <f>H9*H7*H8*(H6-H11*(1-D15))</f>
        <v>8.3249999999999993</v>
      </c>
      <c r="I16" s="13" t="s">
        <v>45</v>
      </c>
      <c r="J16" s="23"/>
      <c r="K16" s="10" t="s">
        <v>24</v>
      </c>
      <c r="L16" s="51" t="s">
        <v>108</v>
      </c>
    </row>
    <row r="17" spans="2:12" x14ac:dyDescent="0.3">
      <c r="B17" s="21" t="s">
        <v>109</v>
      </c>
      <c r="C17" s="17" t="s">
        <v>58</v>
      </c>
      <c r="D17" s="103">
        <v>0.9</v>
      </c>
      <c r="E17" s="13" t="s">
        <v>23</v>
      </c>
      <c r="G17" s="68" t="s">
        <v>110</v>
      </c>
      <c r="H17" s="69"/>
      <c r="I17" s="70"/>
      <c r="K17" s="68" t="s">
        <v>110</v>
      </c>
      <c r="L17" s="70"/>
    </row>
    <row r="18" spans="2:12" ht="18" x14ac:dyDescent="0.3">
      <c r="B18" s="88" t="s">
        <v>111</v>
      </c>
      <c r="C18" s="89" t="s">
        <v>112</v>
      </c>
      <c r="D18" s="104">
        <v>0.4</v>
      </c>
      <c r="E18" s="90" t="s">
        <v>3</v>
      </c>
      <c r="G18" s="10" t="s">
        <v>113</v>
      </c>
      <c r="H18" s="50">
        <f>D8*D12/H16/1000</f>
        <v>0.64984984984984984</v>
      </c>
      <c r="I18" s="13" t="s">
        <v>114</v>
      </c>
      <c r="J18" s="23"/>
      <c r="K18" s="10" t="s">
        <v>113</v>
      </c>
      <c r="L18" s="51" t="s">
        <v>115</v>
      </c>
    </row>
    <row r="19" spans="2:12" ht="18.600000000000001" thickBot="1" x14ac:dyDescent="0.35">
      <c r="B19" s="49" t="s">
        <v>116</v>
      </c>
      <c r="C19" s="25" t="s">
        <v>117</v>
      </c>
      <c r="D19" s="105">
        <v>0.6</v>
      </c>
      <c r="E19" s="26" t="s">
        <v>3</v>
      </c>
      <c r="G19" s="10"/>
      <c r="H19" s="37" t="str">
        <f>IF(OR(H18&lt;0,H18&gt;5),"recheck","OK")</f>
        <v>OK</v>
      </c>
      <c r="I19" s="13"/>
      <c r="K19" s="74" t="s">
        <v>118</v>
      </c>
      <c r="L19" s="75"/>
    </row>
    <row r="20" spans="2:12" x14ac:dyDescent="0.3">
      <c r="G20" s="10" t="s">
        <v>119</v>
      </c>
      <c r="H20" s="50">
        <f>ROUNDUP((H6-H11*(1-D15))*H7*H8*H9/(D8/24),0)</f>
        <v>20</v>
      </c>
      <c r="I20" s="13" t="s">
        <v>120</v>
      </c>
      <c r="K20" s="10" t="s">
        <v>32</v>
      </c>
      <c r="L20" s="51" t="s">
        <v>121</v>
      </c>
    </row>
    <row r="21" spans="2:12" x14ac:dyDescent="0.3">
      <c r="B21" s="67" t="s">
        <v>122</v>
      </c>
      <c r="C21" s="67"/>
      <c r="D21" s="67"/>
      <c r="E21" s="67"/>
      <c r="G21" s="91" t="s">
        <v>123</v>
      </c>
      <c r="H21" s="92" t="s">
        <v>124</v>
      </c>
      <c r="I21" s="47"/>
      <c r="J21" s="23"/>
      <c r="K21" s="93" t="s">
        <v>125</v>
      </c>
      <c r="L21" s="94"/>
    </row>
    <row r="22" spans="2:12" s="1" customFormat="1" x14ac:dyDescent="0.3">
      <c r="B22" s="28" t="s">
        <v>57</v>
      </c>
      <c r="C22" s="29" t="s">
        <v>13</v>
      </c>
      <c r="D22" s="30">
        <f>H7</f>
        <v>1</v>
      </c>
      <c r="E22" s="31" t="s">
        <v>3</v>
      </c>
      <c r="G22" s="24"/>
      <c r="H22" s="37" t="str">
        <f>IF(AND(H21="Yes",H20&gt;=24,H20&lt;=48),"OK",IF(AND(H21="No",H20&gt;=15,H20&lt;=20),"OK","recheck"))</f>
        <v>OK</v>
      </c>
      <c r="I22" s="47"/>
      <c r="J22" s="23"/>
      <c r="K22" s="95"/>
      <c r="L22" s="96"/>
    </row>
    <row r="23" spans="2:12" x14ac:dyDescent="0.3">
      <c r="B23" s="28" t="s">
        <v>52</v>
      </c>
      <c r="C23" s="29" t="s">
        <v>14</v>
      </c>
      <c r="D23" s="30">
        <f>H8</f>
        <v>3</v>
      </c>
      <c r="E23" s="32" t="s">
        <v>3</v>
      </c>
      <c r="G23" s="57" t="s">
        <v>59</v>
      </c>
      <c r="H23" s="58"/>
      <c r="I23" s="59"/>
      <c r="K23" s="65" t="s">
        <v>59</v>
      </c>
      <c r="L23" s="66"/>
    </row>
    <row r="24" spans="2:12" x14ac:dyDescent="0.3">
      <c r="B24" s="28" t="s">
        <v>53</v>
      </c>
      <c r="C24" s="29" t="s">
        <v>54</v>
      </c>
      <c r="D24" s="30">
        <f>H6</f>
        <v>1.8</v>
      </c>
      <c r="E24" s="33" t="s">
        <v>3</v>
      </c>
      <c r="G24" s="53" t="s">
        <v>34</v>
      </c>
      <c r="H24" s="16">
        <f>IF(D12&lt;2000,D12*0.17/2000+0.87,IF(D12&lt;3000,(D12-2000)*0.02/1000+1.04,1.06))</f>
        <v>0.91598500000000005</v>
      </c>
      <c r="I24" s="13"/>
      <c r="K24" s="53" t="s">
        <v>37</v>
      </c>
      <c r="L24" s="19" t="s">
        <v>73</v>
      </c>
    </row>
    <row r="25" spans="2:12" x14ac:dyDescent="0.3">
      <c r="B25" s="28" t="s">
        <v>126</v>
      </c>
      <c r="C25" s="29" t="s">
        <v>127</v>
      </c>
      <c r="D25" s="30">
        <f>H11</f>
        <v>0.75</v>
      </c>
      <c r="E25" s="33" t="s">
        <v>3</v>
      </c>
      <c r="G25" s="53" t="s">
        <v>46</v>
      </c>
      <c r="H25" s="16">
        <f>IF(D13&lt;20,(D13-10)*0.39/20+0.47,IF(D13&lt;25,(D13-20)*0.14/5+0.86,IF(D13&lt;30,(D13-25)*0.08/5+1,1.1)))</f>
        <v>0.86</v>
      </c>
      <c r="I25" s="13"/>
      <c r="K25" s="53" t="s">
        <v>38</v>
      </c>
      <c r="L25" s="19" t="s">
        <v>74</v>
      </c>
    </row>
    <row r="26" spans="2:12" ht="18" x14ac:dyDescent="0.3">
      <c r="B26" s="34" t="s">
        <v>18</v>
      </c>
      <c r="C26" s="34" t="s">
        <v>17</v>
      </c>
      <c r="D26" s="35">
        <f>H35</f>
        <v>71.779000000000011</v>
      </c>
      <c r="E26" s="36" t="s">
        <v>2</v>
      </c>
      <c r="G26" s="53" t="s">
        <v>36</v>
      </c>
      <c r="H26" s="16">
        <f>IF(H9&lt;8,1,IF(H9&lt;15,(1-(H9-8)*0.18/7),(0.82-(H9-15)*0.9/5)))</f>
        <v>1</v>
      </c>
      <c r="I26" s="13"/>
      <c r="K26" s="53" t="s">
        <v>40</v>
      </c>
      <c r="L26" s="19" t="s">
        <v>75</v>
      </c>
    </row>
    <row r="27" spans="2:12" ht="18" x14ac:dyDescent="0.3">
      <c r="B27" s="34" t="s">
        <v>55</v>
      </c>
      <c r="C27" s="34" t="s">
        <v>56</v>
      </c>
      <c r="D27" s="35">
        <f>H32</f>
        <v>239.79039168519711</v>
      </c>
      <c r="E27" s="36" t="s">
        <v>2</v>
      </c>
      <c r="G27" s="53" t="s">
        <v>35</v>
      </c>
      <c r="H27" s="16">
        <f>IF(H20&lt;12,H20*0.16/12+0.44,IF(H20&lt;24,(H20-12)*0.07/12+0.6,IF(H20&lt;33,(H20-24)*0.03/9+0.67,IF(H20&lt;100,(H20-33)*0.09/67+0.7,IF(H20&gt;=100,0.78)))))</f>
        <v>0.64666666666666661</v>
      </c>
      <c r="I27" s="13"/>
      <c r="K27" s="53" t="s">
        <v>39</v>
      </c>
      <c r="L27" s="19" t="s">
        <v>76</v>
      </c>
    </row>
    <row r="28" spans="2:12" x14ac:dyDescent="0.3">
      <c r="B28" s="97" t="s">
        <v>128</v>
      </c>
      <c r="C28" s="1"/>
      <c r="D28" s="98" t="s">
        <v>129</v>
      </c>
      <c r="E28" s="6" t="s">
        <v>130</v>
      </c>
      <c r="G28" s="53" t="s">
        <v>131</v>
      </c>
      <c r="H28" s="16">
        <f>1+(H9*0.04)</f>
        <v>1.08</v>
      </c>
      <c r="I28" s="13"/>
      <c r="K28" s="53" t="s">
        <v>47</v>
      </c>
      <c r="L28" s="19" t="s">
        <v>77</v>
      </c>
    </row>
    <row r="29" spans="2:12" x14ac:dyDescent="0.3">
      <c r="G29" s="53" t="s">
        <v>132</v>
      </c>
      <c r="H29" s="16">
        <f>IF(D14&lt;100,(D14-50)*0.1/50+0.9,IF(D14&lt;200,(D14-100)*0.06/100+1,IF(D14&gt;=200,1.06)))</f>
        <v>1.012</v>
      </c>
      <c r="I29" s="13"/>
      <c r="K29" s="53" t="s">
        <v>133</v>
      </c>
      <c r="L29" s="19" t="s">
        <v>134</v>
      </c>
    </row>
    <row r="30" spans="2:12" x14ac:dyDescent="0.3">
      <c r="G30" s="53" t="s">
        <v>135</v>
      </c>
      <c r="H30" s="20">
        <f>H24*H25*H26*H27*H28*H29</f>
        <v>0.55676452553568001</v>
      </c>
      <c r="I30" s="13"/>
      <c r="K30" s="53" t="s">
        <v>136</v>
      </c>
      <c r="L30" s="19" t="s">
        <v>137</v>
      </c>
    </row>
    <row r="31" spans="2:12" ht="31.2" x14ac:dyDescent="0.3">
      <c r="G31" s="53" t="s">
        <v>138</v>
      </c>
      <c r="H31" s="20">
        <f>IF(H30&lt;0.8,H30,IF((H30*(1-0.37*(H30-0.8)))&lt;0.95,H30*(1-0.37*(H30-0.8)),0.95))</f>
        <v>0.55676452553568001</v>
      </c>
      <c r="I31" s="13"/>
      <c r="K31" s="53" t="s">
        <v>136</v>
      </c>
      <c r="L31" s="54" t="s">
        <v>41</v>
      </c>
    </row>
    <row r="32" spans="2:12" ht="18" x14ac:dyDescent="0.3">
      <c r="G32" s="24" t="s">
        <v>49</v>
      </c>
      <c r="H32" s="38">
        <f>(1-H31)*D12</f>
        <v>239.79039168519711</v>
      </c>
      <c r="I32" s="47" t="s">
        <v>61</v>
      </c>
      <c r="K32" s="24" t="s">
        <v>62</v>
      </c>
      <c r="L32" s="39" t="s">
        <v>51</v>
      </c>
    </row>
    <row r="33" spans="5:12" ht="31.2" x14ac:dyDescent="0.3">
      <c r="G33" s="52" t="s">
        <v>139</v>
      </c>
      <c r="H33" s="16">
        <f>(IF(H31&lt;0.5,1.06,IF(H31&lt;0.75,(H31-0.5)*0.065/0.25+1.06,IF(H31&lt;0.85,1.125-(H31-0.75)*0.1/0.1,IF(H31&gt;=0.85,1.025)))))</f>
        <v>1.0747587766392768</v>
      </c>
      <c r="I33" s="13"/>
      <c r="K33" s="52" t="s">
        <v>140</v>
      </c>
      <c r="L33" s="19" t="s">
        <v>78</v>
      </c>
    </row>
    <row r="34" spans="5:12" x14ac:dyDescent="0.3">
      <c r="G34" s="10" t="s">
        <v>141</v>
      </c>
      <c r="H34" s="99">
        <f>ROUNDUP(H33*H31,3)</f>
        <v>0.59899999999999998</v>
      </c>
      <c r="I34" s="13"/>
      <c r="K34" s="53" t="s">
        <v>142</v>
      </c>
      <c r="L34" s="55" t="s">
        <v>143</v>
      </c>
    </row>
    <row r="35" spans="5:12" ht="16.2" thickBot="1" x14ac:dyDescent="0.35">
      <c r="G35" s="40" t="s">
        <v>48</v>
      </c>
      <c r="H35" s="41">
        <f>(1-H34)*D11</f>
        <v>71.779000000000011</v>
      </c>
      <c r="I35" s="56" t="s">
        <v>61</v>
      </c>
      <c r="K35" s="40" t="s">
        <v>144</v>
      </c>
      <c r="L35" s="42" t="s">
        <v>50</v>
      </c>
    </row>
    <row r="36" spans="5:12" x14ac:dyDescent="0.3">
      <c r="E36" s="43"/>
      <c r="F36" s="43"/>
      <c r="G36" s="44"/>
      <c r="L36" s="45"/>
    </row>
    <row r="37" spans="5:12" x14ac:dyDescent="0.3">
      <c r="E37" s="43"/>
      <c r="F37" s="43"/>
      <c r="G37" s="46"/>
    </row>
  </sheetData>
  <mergeCells count="19">
    <mergeCell ref="G17:I17"/>
    <mergeCell ref="K17:L17"/>
    <mergeCell ref="K19:L19"/>
    <mergeCell ref="B21:E21"/>
    <mergeCell ref="K21:L22"/>
    <mergeCell ref="G23:I23"/>
    <mergeCell ref="K23:L23"/>
    <mergeCell ref="G13:I13"/>
    <mergeCell ref="K13:L13"/>
    <mergeCell ref="K14:L14"/>
    <mergeCell ref="G15:I15"/>
    <mergeCell ref="K15:L15"/>
    <mergeCell ref="B16:E16"/>
    <mergeCell ref="B2:I2"/>
    <mergeCell ref="B1:I1"/>
    <mergeCell ref="K2:L2"/>
    <mergeCell ref="B5:E5"/>
    <mergeCell ref="G5:I5"/>
    <mergeCell ref="K5:L5"/>
  </mergeCells>
  <dataValidations count="2">
    <dataValidation type="list" allowBlank="1" showInputMessage="1" showErrorMessage="1" sqref="H21">
      <formula1>"Yes, No"</formula1>
    </dataValidation>
    <dataValidation type="decimal" operator="lessThanOrEqual" allowBlank="1" showInputMessage="1" showErrorMessage="1" errorTitle="Note:" error="Choose length of AF less than liquid depth of AF" sqref="H7">
      <formula1>H6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K119"/>
  <sheetViews>
    <sheetView workbookViewId="0">
      <selection sqref="A1:XFD1048576"/>
    </sheetView>
  </sheetViews>
  <sheetFormatPr defaultRowHeight="14.4" x14ac:dyDescent="0.3"/>
  <sheetData>
    <row r="16" spans="1:11" ht="24" thickBot="1" x14ac:dyDescent="0.5">
      <c r="A16" s="81" t="s">
        <v>69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</row>
    <row r="32" spans="1:11" ht="24" thickBot="1" x14ac:dyDescent="0.5">
      <c r="A32" s="81" t="s">
        <v>70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</row>
    <row r="48" spans="1:11" ht="24" thickBot="1" x14ac:dyDescent="0.5">
      <c r="A48" s="81" t="s">
        <v>71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</row>
    <row r="66" spans="1:11" ht="24" thickBot="1" x14ac:dyDescent="0.5">
      <c r="A66" s="81" t="s">
        <v>68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</row>
    <row r="83" spans="1:11" ht="24" thickBot="1" x14ac:dyDescent="0.5">
      <c r="A83" s="81" t="s">
        <v>72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</row>
    <row r="100" spans="1:11" ht="24" thickBot="1" x14ac:dyDescent="0.5">
      <c r="A100" s="81" t="s">
        <v>145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</row>
    <row r="119" spans="1:11" ht="24" thickBot="1" x14ac:dyDescent="0.5">
      <c r="A119" s="81" t="s">
        <v>146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</row>
  </sheetData>
  <mergeCells count="7">
    <mergeCell ref="A119:K119"/>
    <mergeCell ref="A16:K16"/>
    <mergeCell ref="A32:K32"/>
    <mergeCell ref="A48:K48"/>
    <mergeCell ref="A66:K66"/>
    <mergeCell ref="A83:K83"/>
    <mergeCell ref="A100:K10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</vt:lpstr>
      <vt:lpstr>Graph AF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FMills</dc:creator>
  <cp:lastModifiedBy>Shirish Singh</cp:lastModifiedBy>
  <cp:lastPrinted>2019-03-27T05:08:49Z</cp:lastPrinted>
  <dcterms:created xsi:type="dcterms:W3CDTF">2010-10-04T09:43:33Z</dcterms:created>
  <dcterms:modified xsi:type="dcterms:W3CDTF">2020-01-21T09:29:11Z</dcterms:modified>
</cp:coreProperties>
</file>